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aesa\Direcciones\DSA\UAS\05_DOC.FORMAL.DUAS\02_Proc.operadores.EASA\00_Borradores\En revisión- revisados\"/>
    </mc:Choice>
  </mc:AlternateContent>
  <bookViews>
    <workbookView xWindow="-28920" yWindow="-2100" windowWidth="29040" windowHeight="15840"/>
  </bookViews>
  <sheets>
    <sheet name="Input data" sheetId="2" r:id="rId1"/>
    <sheet name="Calculations"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G15" i="2"/>
  <c r="F15" i="2"/>
  <c r="H14" i="2"/>
  <c r="F14" i="2"/>
  <c r="H13" i="2"/>
  <c r="G13" i="2"/>
  <c r="E40" i="1" l="1"/>
  <c r="C17" i="2" l="1"/>
  <c r="C21" i="2" l="1"/>
  <c r="C25" i="2" l="1"/>
  <c r="C22" i="2" l="1"/>
  <c r="F23" i="1"/>
  <c r="E38" i="1" l="1"/>
  <c r="F21" i="1" l="1"/>
  <c r="F19" i="1" l="1"/>
  <c r="E36" i="1"/>
  <c r="F17" i="1" l="1"/>
  <c r="E46" i="1"/>
  <c r="M56" i="1" l="1"/>
  <c r="F63" i="1"/>
  <c r="F65" i="1"/>
  <c r="F26" i="1"/>
  <c r="C29" i="2" s="1"/>
  <c r="F78" i="1"/>
  <c r="F88" i="1" l="1"/>
  <c r="F67" i="1"/>
  <c r="F82" i="1" l="1"/>
  <c r="F84" i="1" l="1"/>
  <c r="F86" i="1" s="1"/>
  <c r="F80" i="1"/>
  <c r="F90" i="1" l="1"/>
  <c r="F5" i="1" s="1"/>
  <c r="C31" i="2" s="1"/>
  <c r="D31" i="2" s="1"/>
</calcChain>
</file>

<file path=xl/sharedStrings.xml><?xml version="1.0" encoding="utf-8"?>
<sst xmlns="http://schemas.openxmlformats.org/spreadsheetml/2006/main" count="132" uniqueCount="117">
  <si>
    <t>Fm</t>
  </si>
  <si>
    <t>Ve</t>
  </si>
  <si>
    <t>km/h</t>
  </si>
  <si>
    <t>Ta</t>
  </si>
  <si>
    <t>h</t>
  </si>
  <si>
    <t>H</t>
  </si>
  <si>
    <t>Fmploc</t>
  </si>
  <si>
    <t>Fmcont</t>
  </si>
  <si>
    <t>Rfma</t>
  </si>
  <si>
    <t>km</t>
  </si>
  <si>
    <t>Z</t>
  </si>
  <si>
    <t>X</t>
  </si>
  <si>
    <t>Sig</t>
  </si>
  <si>
    <t>Z = (X - Nu)/Sig</t>
  </si>
  <si>
    <t>P no mit</t>
  </si>
  <si>
    <t>Fact mit</t>
  </si>
  <si>
    <t>P mit res</t>
  </si>
  <si>
    <t>Z mit res</t>
  </si>
  <si>
    <t>X mit res</t>
  </si>
  <si>
    <t>p=1-Rfma</t>
  </si>
  <si>
    <t>M2</t>
  </si>
  <si>
    <t>L</t>
  </si>
  <si>
    <t>OSOS</t>
  </si>
  <si>
    <t>Introduce the following data</t>
  </si>
  <si>
    <t>Operating Speed when expected Loss of Control</t>
  </si>
  <si>
    <t>Remaining autonomy time when there is a loss of control</t>
  </si>
  <si>
    <t>Adjacent distance in flight with no mitigation</t>
  </si>
  <si>
    <t>Total adjacent distance</t>
  </si>
  <si>
    <t>Mitigation factor</t>
  </si>
  <si>
    <t>Base formulas:</t>
  </si>
  <si>
    <t>Acceptable risk</t>
  </si>
  <si>
    <t>A.D.t</t>
  </si>
  <si>
    <t>A.D. no mit</t>
  </si>
  <si>
    <t>f/fh</t>
  </si>
  <si>
    <t>Probability of loss of control (loss of control per flight hour)</t>
  </si>
  <si>
    <t>Loc/fh</t>
  </si>
  <si>
    <t xml:space="preserve">System without robustness </t>
  </si>
  <si>
    <t>Loss of control probability mitigation factor</t>
  </si>
  <si>
    <t>Ploc</t>
  </si>
  <si>
    <t>Containment mitigation factor</t>
  </si>
  <si>
    <t>Linked to OSOs robustness.</t>
  </si>
  <si>
    <t>Adjacent Distance</t>
  </si>
  <si>
    <t>Risk distribution with distance. Characterization of the distribution</t>
  </si>
  <si>
    <t>Falling probability with distance according to a normal distribution, being a chain of rare events of initiating the fall at each subsequent differential of space.</t>
  </si>
  <si>
    <t>Outward is half the probability of falling in case of loss of control. The mean of the distribution is zero.</t>
  </si>
  <si>
    <t xml:space="preserve">The risk of reaching the end of the A.D. no mit is to remain the residual Rfma. </t>
  </si>
  <si>
    <t>Using a standard normal table (Z-table) calculate at what Z the acceptable residual risk is reached.</t>
  </si>
  <si>
    <t>Z-value</t>
  </si>
  <si>
    <t>Value on the x-axis at which the given cumulative probability is p</t>
  </si>
  <si>
    <t>Standard deviation of fall risk distribution with distance.</t>
  </si>
  <si>
    <t>With the objective of Rfma at A.D. we take Sig and we have said that Nu (mean) is 0.</t>
  </si>
  <si>
    <t>Risk distribution with distance. Calculation of the mitigation factor (Fm) of the A.D. no mit</t>
  </si>
  <si>
    <t>Having defined the values of the distribution (Sig, Nu=0)</t>
  </si>
  <si>
    <t>Teniendo el valor de probabilidad no mitigada aceptable con las mitigaciones dadas</t>
  </si>
  <si>
    <t>No mitigation probability of having fallen in a given space (Rmfa)</t>
  </si>
  <si>
    <t>Fall probability mitigation factor</t>
  </si>
  <si>
    <t>Residual Mitigated Probability (Rfm)</t>
  </si>
  <si>
    <t>Residual mitigated Z</t>
  </si>
  <si>
    <t>Residual mitigated X</t>
  </si>
  <si>
    <t>Unmitigated adjacent distance</t>
  </si>
  <si>
    <t>Mitigation factor which reduces adjacent distance</t>
  </si>
  <si>
    <t>SAIL</t>
  </si>
  <si>
    <t>I</t>
  </si>
  <si>
    <t>II</t>
  </si>
  <si>
    <t>III</t>
  </si>
  <si>
    <t>IV</t>
  </si>
  <si>
    <t>V</t>
  </si>
  <si>
    <t>VI</t>
  </si>
  <si>
    <t>Robustness</t>
  </si>
  <si>
    <t xml:space="preserve">OSOs </t>
  </si>
  <si>
    <t>Please select the SAIL level</t>
  </si>
  <si>
    <r>
      <t>Critical area (m</t>
    </r>
    <r>
      <rPr>
        <vertAlign val="superscript"/>
        <sz val="11"/>
        <color theme="1"/>
        <rFont val="Calibri"/>
        <family val="2"/>
        <scheme val="minor"/>
      </rPr>
      <t>2</t>
    </r>
    <r>
      <rPr>
        <sz val="11"/>
        <color theme="1"/>
        <rFont val="Calibri"/>
        <family val="2"/>
        <scheme val="minor"/>
      </rPr>
      <t>)</t>
    </r>
  </si>
  <si>
    <t>Final residual unmitigated risk -&gt; To be assumed with adjacent distance protection.</t>
  </si>
  <si>
    <t>Rfrur</t>
  </si>
  <si>
    <r>
      <t>Near Population density (ppl/km</t>
    </r>
    <r>
      <rPr>
        <vertAlign val="superscript"/>
        <sz val="11"/>
        <color theme="1"/>
        <rFont val="Calibri"/>
        <family val="2"/>
        <scheme val="minor"/>
      </rPr>
      <t>2</t>
    </r>
    <r>
      <rPr>
        <sz val="11"/>
        <color theme="1"/>
        <rFont val="Calibri"/>
        <family val="2"/>
        <scheme val="minor"/>
      </rPr>
      <t>)</t>
    </r>
  </si>
  <si>
    <t>Acceptable final mitigated risk (in accordance with AMC RPAS.1309 Issue 2)</t>
  </si>
  <si>
    <t>Rfrur= Ploc x Fmploc x Fmcont x Se x Fms &gt; Rfma</t>
  </si>
  <si>
    <t>Operating expected scape Speed (km/h)</t>
  </si>
  <si>
    <t>Not apllicable</t>
  </si>
  <si>
    <t xml:space="preserve">A.D.t = A.D. no mi x Fm </t>
  </si>
  <si>
    <t>RB</t>
  </si>
  <si>
    <t>Risk Buffer</t>
  </si>
  <si>
    <t>RB(km)</t>
  </si>
  <si>
    <t>Fm= (X mit res-RB) / A.D. no mit</t>
  </si>
  <si>
    <t>Risk Buffer (km)</t>
  </si>
  <si>
    <t>T.D. no mit = Ve x Ta</t>
  </si>
  <si>
    <t>A.D. (km) = T. D. no mit - RB</t>
  </si>
  <si>
    <t>Random target variable -&gt; Total mitigated distance (T.D.m)</t>
  </si>
  <si>
    <t>m/s</t>
  </si>
  <si>
    <t>Unmitigated adjacent distance (km)</t>
  </si>
  <si>
    <t>Wingspan (m)</t>
  </si>
  <si>
    <t>Mass (kg)</t>
  </si>
  <si>
    <t>Maximum cruise speed (km/h)</t>
  </si>
  <si>
    <t>For critical area</t>
  </si>
  <si>
    <t xml:space="preserve">For Unmitigated Adjacent Distance </t>
  </si>
  <si>
    <t>Unit converter</t>
  </si>
  <si>
    <t>Legend:</t>
  </si>
  <si>
    <t>Input data</t>
  </si>
  <si>
    <t>Result</t>
  </si>
  <si>
    <t>Not applicable</t>
  </si>
  <si>
    <r>
      <t xml:space="preserve">Adjacent Distance </t>
    </r>
    <r>
      <rPr>
        <sz val="12"/>
        <color theme="0"/>
        <rFont val="Calibri"/>
        <family val="2"/>
        <scheme val="minor"/>
      </rPr>
      <t>(km)</t>
    </r>
  </si>
  <si>
    <t xml:space="preserve">Link </t>
  </si>
  <si>
    <t>Instructions</t>
  </si>
  <si>
    <t>Please enter the Population density</t>
  </si>
  <si>
    <t>Step 9</t>
  </si>
  <si>
    <t>Insert the data required for the calculations in the corresponding cells (please enter the data in the proper units). Check the legend to find out which cells correspond to input data required.                                                            In case of having to select a level, please choose one of the options from the selection list.                                                                                                                                                                                                 Finally, if you want to see how the adjacent distance is calculated, you can go to the calculations by clicking on the corresponding link.</t>
  </si>
  <si>
    <t xml:space="preserve">Remaining maximum expected time in flight (h) </t>
  </si>
  <si>
    <t>*If no evidence is provided to select a lower value, the default value of 60% will be used.</t>
  </si>
  <si>
    <t>kt</t>
  </si>
  <si>
    <t xml:space="preserve">m/s </t>
  </si>
  <si>
    <t>Adjacent Distance Calculation Simplified</t>
  </si>
  <si>
    <t>Unmitigated Adjacent Distance (km) (maximun 35 km)</t>
  </si>
  <si>
    <t xml:space="preserve">Endurance (min) </t>
  </si>
  <si>
    <t>min to h</t>
  </si>
  <si>
    <t>m</t>
  </si>
  <si>
    <t>Please select the level of robustness: L for Low, H for High or not applicable</t>
  </si>
  <si>
    <t>UAS-OPR-P01-DT10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</si>
</sst>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E+00"/>
    <numFmt numFmtId="165" formatCode="0.0000"/>
    <numFmt numFmtId="166" formatCode="0.0000000"/>
    <numFmt numFmtId="167" formatCode="0.00000000"/>
  </numFmts>
  <fonts count="10" x14ac:knownFonts="1">
    <font>
      <sz val="11"/>
      <color theme="1"/>
      <name val="Calibri"/>
      <family val="2"/>
      <scheme val="minor"/>
    </font>
    <font>
      <b/>
      <sz val="11"/>
      <color theme="1"/>
      <name val="Calibri"/>
      <family val="2"/>
      <scheme val="minor"/>
    </font>
    <font>
      <b/>
      <sz val="11"/>
      <name val="Calibri"/>
      <family val="2"/>
      <scheme val="minor"/>
    </font>
    <font>
      <vertAlign val="superscript"/>
      <sz val="11"/>
      <color theme="1"/>
      <name val="Calibri"/>
      <family val="2"/>
      <scheme val="minor"/>
    </font>
    <font>
      <b/>
      <sz val="18"/>
      <color theme="0"/>
      <name val="Calibri"/>
      <family val="2"/>
      <scheme val="minor"/>
    </font>
    <font>
      <b/>
      <sz val="12"/>
      <color theme="0"/>
      <name val="Calibri"/>
      <family val="2"/>
      <scheme val="minor"/>
    </font>
    <font>
      <sz val="12"/>
      <color theme="0"/>
      <name val="Calibri"/>
      <family val="2"/>
      <scheme val="minor"/>
    </font>
    <font>
      <sz val="11"/>
      <color theme="1"/>
      <name val="Calibri"/>
      <family val="2"/>
      <scheme val="minor"/>
    </font>
    <font>
      <sz val="12"/>
      <name val="Calibri"/>
      <family val="2"/>
      <scheme val="minor"/>
    </font>
    <font>
      <sz val="9"/>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style="mediumDashed">
        <color theme="0" tint="-0.24994659260841701"/>
      </bottom>
      <diagonal/>
    </border>
    <border>
      <left/>
      <right/>
      <top style="medium">
        <color indexed="64"/>
      </top>
      <bottom style="mediumDashed">
        <color theme="0" tint="-0.24994659260841701"/>
      </bottom>
      <diagonal/>
    </border>
    <border>
      <left/>
      <right style="medium">
        <color indexed="64"/>
      </right>
      <top style="medium">
        <color indexed="64"/>
      </top>
      <bottom style="mediumDashed">
        <color theme="0" tint="-0.2499465926084170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56">
    <xf numFmtId="0" fontId="0" fillId="0" borderId="0" xfId="0"/>
    <xf numFmtId="164" fontId="0" fillId="0" borderId="0" xfId="0" applyNumberFormat="1"/>
    <xf numFmtId="164" fontId="1" fillId="0" borderId="0" xfId="0" applyNumberFormat="1" applyFont="1"/>
    <xf numFmtId="0" fontId="1" fillId="0" borderId="0" xfId="0" applyFont="1"/>
    <xf numFmtId="165" fontId="0" fillId="0" borderId="0" xfId="0" applyNumberFormat="1"/>
    <xf numFmtId="2" fontId="1" fillId="2" borderId="0" xfId="0" applyNumberFormat="1" applyFont="1" applyFill="1"/>
    <xf numFmtId="164" fontId="0" fillId="0" borderId="0" xfId="0" applyNumberFormat="1" applyFill="1"/>
    <xf numFmtId="0" fontId="0" fillId="3" borderId="0" xfId="0" applyFill="1"/>
    <xf numFmtId="0" fontId="0" fillId="3" borderId="0" xfId="0" applyFill="1" applyAlignment="1">
      <alignment horizontal="center" vertical="center"/>
    </xf>
    <xf numFmtId="0" fontId="1" fillId="0" borderId="0" xfId="0" applyFont="1" applyFill="1"/>
    <xf numFmtId="2" fontId="1" fillId="5" borderId="0" xfId="0" applyNumberFormat="1" applyFont="1" applyFill="1"/>
    <xf numFmtId="0" fontId="0" fillId="6" borderId="0" xfId="0" applyFill="1" applyAlignment="1">
      <alignment horizontal="center"/>
    </xf>
    <xf numFmtId="0" fontId="0" fillId="6" borderId="0" xfId="0" applyFill="1" applyAlignment="1">
      <alignment horizontal="center" vertical="center"/>
    </xf>
    <xf numFmtId="0" fontId="1" fillId="0" borderId="0" xfId="0" applyFont="1" applyFill="1" applyAlignment="1"/>
    <xf numFmtId="0" fontId="1" fillId="0" borderId="0" xfId="0" applyFont="1" applyAlignment="1"/>
    <xf numFmtId="0" fontId="2" fillId="0" borderId="0" xfId="0" applyFont="1" applyFill="1" applyAlignment="1">
      <alignment horizontal="center"/>
    </xf>
    <xf numFmtId="11" fontId="0" fillId="0" borderId="0" xfId="0" applyNumberFormat="1"/>
    <xf numFmtId="0" fontId="0" fillId="0" borderId="0" xfId="0" applyFill="1"/>
    <xf numFmtId="4" fontId="0" fillId="3" borderId="0" xfId="0" applyNumberFormat="1" applyFill="1"/>
    <xf numFmtId="166" fontId="0" fillId="4" borderId="0" xfId="0" applyNumberFormat="1" applyFill="1"/>
    <xf numFmtId="166" fontId="0" fillId="0" borderId="0" xfId="0" applyNumberFormat="1"/>
    <xf numFmtId="167" fontId="0" fillId="0" borderId="0" xfId="0" applyNumberFormat="1"/>
    <xf numFmtId="0" fontId="0" fillId="5" borderId="0" xfId="0" applyFill="1"/>
    <xf numFmtId="4" fontId="0" fillId="5" borderId="0" xfId="0" applyNumberFormat="1" applyFill="1"/>
    <xf numFmtId="4" fontId="0" fillId="0" borderId="0" xfId="0" applyNumberFormat="1" applyFill="1"/>
    <xf numFmtId="2" fontId="0" fillId="5" borderId="0" xfId="0" applyNumberFormat="1" applyFill="1"/>
    <xf numFmtId="0" fontId="2" fillId="8" borderId="0" xfId="0" applyFont="1" applyFill="1" applyAlignment="1">
      <alignment horizontal="left"/>
    </xf>
    <xf numFmtId="0" fontId="1" fillId="9" borderId="0" xfId="0" applyFont="1" applyFill="1"/>
    <xf numFmtId="0" fontId="1" fillId="8" borderId="0" xfId="0" applyFont="1" applyFill="1" applyAlignment="1"/>
    <xf numFmtId="0" fontId="5" fillId="10" borderId="0" xfId="0" applyFont="1" applyFill="1"/>
    <xf numFmtId="0" fontId="0" fillId="7" borderId="0" xfId="0" applyFill="1"/>
    <xf numFmtId="2" fontId="0" fillId="0" borderId="0" xfId="0" applyNumberFormat="1"/>
    <xf numFmtId="164" fontId="1" fillId="0" borderId="0" xfId="0" applyNumberFormat="1" applyFont="1" applyFill="1"/>
    <xf numFmtId="0" fontId="0" fillId="0" borderId="0" xfId="0" applyAlignment="1">
      <alignment wrapText="1"/>
    </xf>
    <xf numFmtId="0" fontId="0" fillId="0" borderId="0" xfId="0" applyFill="1" applyAlignment="1">
      <alignment horizontal="center" vertical="center"/>
    </xf>
    <xf numFmtId="0" fontId="0" fillId="0" borderId="0" xfId="0" applyAlignment="1"/>
    <xf numFmtId="0" fontId="1" fillId="11" borderId="1" xfId="0" applyFont="1" applyFill="1" applyBorder="1" applyAlignment="1">
      <alignment horizontal="center"/>
    </xf>
    <xf numFmtId="0" fontId="1" fillId="11" borderId="2" xfId="0" applyFont="1" applyFill="1" applyBorder="1" applyAlignment="1">
      <alignment horizontal="center"/>
    </xf>
    <xf numFmtId="0" fontId="1" fillId="11" borderId="3" xfId="0" applyFont="1" applyFill="1" applyBorder="1" applyAlignment="1">
      <alignment horizontal="center"/>
    </xf>
    <xf numFmtId="0" fontId="0" fillId="0" borderId="4" xfId="0" applyBorder="1"/>
    <xf numFmtId="2" fontId="0" fillId="5" borderId="6" xfId="0" applyNumberFormat="1" applyFill="1" applyBorder="1"/>
    <xf numFmtId="0" fontId="0" fillId="0" borderId="7" xfId="0" applyBorder="1"/>
    <xf numFmtId="2" fontId="0" fillId="5" borderId="8" xfId="0" applyNumberFormat="1" applyFill="1" applyBorder="1"/>
    <xf numFmtId="0" fontId="0" fillId="0" borderId="5" xfId="0" applyBorder="1" applyAlignment="1">
      <alignment horizontal="center" vertical="center"/>
    </xf>
    <xf numFmtId="0" fontId="0" fillId="0" borderId="6" xfId="0" applyBorder="1" applyAlignment="1">
      <alignment horizontal="center" vertical="center"/>
    </xf>
    <xf numFmtId="2" fontId="0" fillId="3" borderId="5" xfId="0" applyNumberFormat="1" applyFill="1" applyBorder="1"/>
    <xf numFmtId="2" fontId="0" fillId="5" borderId="5" xfId="0" applyNumberFormat="1" applyFill="1" applyBorder="1"/>
    <xf numFmtId="2" fontId="0" fillId="3" borderId="9" xfId="0" applyNumberFormat="1" applyFill="1" applyBorder="1"/>
    <xf numFmtId="0" fontId="8" fillId="0" borderId="0" xfId="0" applyFont="1" applyFill="1"/>
    <xf numFmtId="4" fontId="0" fillId="3" borderId="0" xfId="1" applyNumberFormat="1" applyFont="1" applyFill="1"/>
    <xf numFmtId="0" fontId="4" fillId="4" borderId="0" xfId="0" applyFont="1" applyFill="1" applyAlignment="1">
      <alignment horizontal="center" vertical="center"/>
    </xf>
    <xf numFmtId="0" fontId="0" fillId="0" borderId="0" xfId="0" applyAlignment="1">
      <alignment horizontal="left" vertical="top" wrapText="1"/>
    </xf>
    <xf numFmtId="0" fontId="1" fillId="12" borderId="10" xfId="0" applyFont="1" applyFill="1" applyBorder="1" applyAlignment="1">
      <alignment horizontal="center"/>
    </xf>
    <xf numFmtId="0" fontId="1" fillId="12" borderId="11" xfId="0" applyFont="1" applyFill="1" applyBorder="1" applyAlignment="1">
      <alignment horizontal="center"/>
    </xf>
    <xf numFmtId="0" fontId="1" fillId="12" borderId="12" xfId="0" applyFont="1" applyFill="1" applyBorder="1" applyAlignment="1">
      <alignment horizontal="center"/>
    </xf>
    <xf numFmtId="0" fontId="9" fillId="0" borderId="0" xfId="0"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alculations!A1"/><Relationship Id="rId2" Type="http://schemas.openxmlformats.org/officeDocument/2006/relationships/hyperlink" Target="#'Spanish density'!A1"/><Relationship Id="rId1" Type="http://schemas.openxmlformats.org/officeDocument/2006/relationships/hyperlink" Target="#'Critical Area'!A1"/></Relationships>
</file>

<file path=xl/drawings/_rels/drawing2.xml.rels><?xml version="1.0" encoding="UTF-8" standalone="yes"?>
<Relationships xmlns="http://schemas.openxmlformats.org/package/2006/relationships"><Relationship Id="rId1" Type="http://schemas.openxmlformats.org/officeDocument/2006/relationships/hyperlink" Target="#'Input data'!A1"/></Relationships>
</file>

<file path=xl/drawings/drawing1.xml><?xml version="1.0" encoding="utf-8"?>
<xdr:wsDr xmlns:xdr="http://schemas.openxmlformats.org/drawingml/2006/spreadsheetDrawing" xmlns:a="http://schemas.openxmlformats.org/drawingml/2006/main">
  <xdr:twoCellAnchor>
    <xdr:from>
      <xdr:col>3</xdr:col>
      <xdr:colOff>205653</xdr:colOff>
      <xdr:row>19</xdr:row>
      <xdr:rowOff>129886</xdr:rowOff>
    </xdr:from>
    <xdr:to>
      <xdr:col>4</xdr:col>
      <xdr:colOff>689253</xdr:colOff>
      <xdr:row>22</xdr:row>
      <xdr:rowOff>0</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795221" y="3558886"/>
          <a:ext cx="1245600" cy="467591"/>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50" b="1">
              <a:solidFill>
                <a:sysClr val="windowText" lastClr="000000"/>
              </a:solidFill>
            </a:rPr>
            <a:t>CRITICAL</a:t>
          </a:r>
          <a:r>
            <a:rPr lang="es-ES" sz="1050" b="1" baseline="0">
              <a:solidFill>
                <a:sysClr val="windowText" lastClr="000000"/>
              </a:solidFill>
            </a:rPr>
            <a:t> AREA CALCULATION</a:t>
          </a:r>
          <a:endParaRPr lang="es-ES" sz="1050" b="1">
            <a:solidFill>
              <a:sysClr val="windowText" lastClr="000000"/>
            </a:solidFill>
          </a:endParaRPr>
        </a:p>
      </xdr:txBody>
    </xdr:sp>
    <xdr:clientData/>
  </xdr:twoCellAnchor>
  <xdr:twoCellAnchor>
    <xdr:from>
      <xdr:col>3</xdr:col>
      <xdr:colOff>205653</xdr:colOff>
      <xdr:row>23</xdr:row>
      <xdr:rowOff>138546</xdr:rowOff>
    </xdr:from>
    <xdr:to>
      <xdr:col>4</xdr:col>
      <xdr:colOff>689253</xdr:colOff>
      <xdr:row>26</xdr:row>
      <xdr:rowOff>8659</xdr:rowOff>
    </xdr:to>
    <xdr:sp macro="" textlink="">
      <xdr:nvSpPr>
        <xdr:cNvPr id="4" name="Rectángulo redondeado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795221" y="4355523"/>
          <a:ext cx="1245600" cy="467591"/>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50" b="1">
              <a:solidFill>
                <a:sysClr val="windowText" lastClr="000000"/>
              </a:solidFill>
            </a:rPr>
            <a:t>POPULATION DENSITY MAP</a:t>
          </a:r>
        </a:p>
      </xdr:txBody>
    </xdr:sp>
    <xdr:clientData/>
  </xdr:twoCellAnchor>
  <xdr:twoCellAnchor>
    <xdr:from>
      <xdr:col>11</xdr:col>
      <xdr:colOff>300668</xdr:colOff>
      <xdr:row>2</xdr:row>
      <xdr:rowOff>19730</xdr:rowOff>
    </xdr:from>
    <xdr:to>
      <xdr:col>12</xdr:col>
      <xdr:colOff>740279</xdr:colOff>
      <xdr:row>4</xdr:row>
      <xdr:rowOff>123474</xdr:rowOff>
    </xdr:to>
    <xdr:sp macro="" textlink="">
      <xdr:nvSpPr>
        <xdr:cNvPr id="6" name="Rectángulo redondeado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6853001" y="400730"/>
          <a:ext cx="1254528" cy="474161"/>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50" b="1">
              <a:solidFill>
                <a:sysClr val="windowText" lastClr="000000"/>
              </a:solidFill>
            </a:rPr>
            <a:t>ADJACENT</a:t>
          </a:r>
          <a:r>
            <a:rPr lang="es-ES" sz="1050" b="1" baseline="0">
              <a:solidFill>
                <a:sysClr val="windowText" lastClr="000000"/>
              </a:solidFill>
            </a:rPr>
            <a:t> AREA CALCULATION</a:t>
          </a:r>
          <a:endParaRPr lang="es-ES" sz="105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158750</xdr:rowOff>
    </xdr:from>
    <xdr:to>
      <xdr:col>9</xdr:col>
      <xdr:colOff>488950</xdr:colOff>
      <xdr:row>3</xdr:row>
      <xdr:rowOff>120650</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5657850" y="158750"/>
          <a:ext cx="1365250" cy="514350"/>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200" b="1">
              <a:solidFill>
                <a:sysClr val="windowText" lastClr="000000"/>
              </a:solidFill>
            </a:rPr>
            <a:t>BACK</a:t>
          </a:r>
          <a:r>
            <a:rPr lang="es-ES" sz="1200" b="1" baseline="0">
              <a:solidFill>
                <a:sysClr val="windowText" lastClr="000000"/>
              </a:solidFill>
            </a:rPr>
            <a:t> TO INPUT DATA</a:t>
          </a:r>
          <a:endParaRPr lang="es-ES"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38"/>
  <sheetViews>
    <sheetView showGridLines="0" showRowColHeaders="0" tabSelected="1" zoomScale="90" zoomScaleNormal="90" workbookViewId="0">
      <selection activeCell="B38" sqref="B38"/>
    </sheetView>
  </sheetViews>
  <sheetFormatPr baseColWidth="10" defaultRowHeight="14.5" x14ac:dyDescent="0.35"/>
  <cols>
    <col min="2" max="2" width="70.54296875" customWidth="1"/>
    <col min="3" max="3" width="16.81640625" customWidth="1"/>
    <col min="9" max="9" width="26.36328125" customWidth="1"/>
    <col min="10" max="10" width="42.7265625" customWidth="1"/>
    <col min="12" max="16383" width="11.36328125" customWidth="1"/>
  </cols>
  <sheetData>
    <row r="1" spans="2:10" ht="15" customHeight="1" x14ac:dyDescent="0.35">
      <c r="B1" s="50" t="s">
        <v>110</v>
      </c>
      <c r="C1" s="50"/>
      <c r="D1" s="50"/>
      <c r="E1" s="50"/>
      <c r="F1" s="50"/>
      <c r="G1" s="50"/>
      <c r="H1" s="50"/>
      <c r="I1" s="50"/>
      <c r="J1" s="50"/>
    </row>
    <row r="2" spans="2:10" ht="15" customHeight="1" x14ac:dyDescent="0.35">
      <c r="B2" s="50"/>
      <c r="C2" s="50"/>
      <c r="D2" s="50"/>
      <c r="E2" s="50"/>
      <c r="F2" s="50"/>
      <c r="G2" s="50"/>
      <c r="H2" s="50"/>
      <c r="I2" s="50"/>
      <c r="J2" s="50"/>
    </row>
    <row r="3" spans="2:10" ht="15" customHeight="1" x14ac:dyDescent="0.35">
      <c r="B3" s="50"/>
      <c r="C3" s="50"/>
      <c r="D3" s="50"/>
      <c r="E3" s="50"/>
      <c r="F3" s="50"/>
      <c r="G3" s="50"/>
      <c r="H3" s="50"/>
      <c r="I3" s="50"/>
      <c r="J3" s="50"/>
    </row>
    <row r="5" spans="2:10" ht="15.5" x14ac:dyDescent="0.35">
      <c r="B5" s="28" t="s">
        <v>70</v>
      </c>
      <c r="C5" s="14"/>
      <c r="E5" s="3" t="s">
        <v>96</v>
      </c>
      <c r="J5" s="29" t="s">
        <v>102</v>
      </c>
    </row>
    <row r="6" spans="2:10" x14ac:dyDescent="0.35">
      <c r="B6" t="s">
        <v>69</v>
      </c>
      <c r="C6" s="8" t="s">
        <v>63</v>
      </c>
      <c r="E6" s="7"/>
      <c r="F6" t="s">
        <v>97</v>
      </c>
      <c r="J6" s="51" t="s">
        <v>105</v>
      </c>
    </row>
    <row r="7" spans="2:10" x14ac:dyDescent="0.35">
      <c r="E7" s="22"/>
      <c r="F7" t="s">
        <v>98</v>
      </c>
      <c r="J7" s="51"/>
    </row>
    <row r="8" spans="2:10" x14ac:dyDescent="0.35">
      <c r="B8" s="28" t="s">
        <v>115</v>
      </c>
      <c r="C8" s="13"/>
      <c r="E8" s="30"/>
      <c r="F8" t="s">
        <v>101</v>
      </c>
      <c r="J8" s="51"/>
    </row>
    <row r="9" spans="2:10" ht="15" thickBot="1" x14ac:dyDescent="0.4">
      <c r="B9" t="s">
        <v>104</v>
      </c>
      <c r="C9" s="8" t="s">
        <v>21</v>
      </c>
      <c r="J9" s="51"/>
    </row>
    <row r="10" spans="2:10" ht="15.75" hidden="1" customHeight="1" thickBot="1" x14ac:dyDescent="0.4">
      <c r="B10" t="s">
        <v>20</v>
      </c>
      <c r="C10" s="8" t="s">
        <v>21</v>
      </c>
      <c r="E10" s="36" t="s">
        <v>95</v>
      </c>
      <c r="F10" s="37"/>
      <c r="G10" s="38"/>
      <c r="J10" s="51"/>
    </row>
    <row r="11" spans="2:10" x14ac:dyDescent="0.35">
      <c r="C11" s="34"/>
      <c r="E11" s="52" t="s">
        <v>95</v>
      </c>
      <c r="F11" s="53"/>
      <c r="G11" s="53"/>
      <c r="H11" s="54"/>
      <c r="J11" s="51"/>
    </row>
    <row r="12" spans="2:10" x14ac:dyDescent="0.35">
      <c r="B12" s="26" t="s">
        <v>23</v>
      </c>
      <c r="C12" s="15"/>
      <c r="E12" s="39"/>
      <c r="F12" s="43" t="s">
        <v>88</v>
      </c>
      <c r="G12" s="43" t="s">
        <v>2</v>
      </c>
      <c r="H12" s="44" t="s">
        <v>108</v>
      </c>
      <c r="J12" s="51"/>
    </row>
    <row r="13" spans="2:10" x14ac:dyDescent="0.35">
      <c r="B13" s="27" t="s">
        <v>94</v>
      </c>
      <c r="E13" s="39" t="s">
        <v>109</v>
      </c>
      <c r="F13" s="45">
        <v>0.15</v>
      </c>
      <c r="G13" s="46">
        <f>F13*3.6</f>
        <v>0.54</v>
      </c>
      <c r="H13" s="40">
        <f>F13*1.94384</f>
        <v>0.291576</v>
      </c>
      <c r="J13" s="51"/>
    </row>
    <row r="14" spans="2:10" x14ac:dyDescent="0.35">
      <c r="B14" t="s">
        <v>77</v>
      </c>
      <c r="C14" s="7">
        <v>50</v>
      </c>
      <c r="E14" s="39" t="s">
        <v>2</v>
      </c>
      <c r="F14" s="46">
        <f>G14/3.6</f>
        <v>13.888888888888889</v>
      </c>
      <c r="G14" s="45">
        <v>50</v>
      </c>
      <c r="H14" s="40">
        <f>G14*0.539957</f>
        <v>26.99785</v>
      </c>
      <c r="J14" s="51"/>
    </row>
    <row r="15" spans="2:10" ht="15" thickBot="1" x14ac:dyDescent="0.4">
      <c r="B15" t="s">
        <v>112</v>
      </c>
      <c r="C15" s="7">
        <v>10</v>
      </c>
      <c r="E15" s="41" t="s">
        <v>108</v>
      </c>
      <c r="F15" s="42">
        <f>H15*0.514444</f>
        <v>42.5959632</v>
      </c>
      <c r="G15" s="42">
        <f>H15*1.852</f>
        <v>153.34559999999999</v>
      </c>
      <c r="H15" s="47">
        <v>82.8</v>
      </c>
      <c r="J15" s="51"/>
    </row>
    <row r="16" spans="2:10" hidden="1" x14ac:dyDescent="0.35">
      <c r="B16" t="s">
        <v>113</v>
      </c>
      <c r="C16" s="49">
        <v>1.6666666666666666E-2</v>
      </c>
      <c r="D16" t="s">
        <v>107</v>
      </c>
      <c r="J16" s="51"/>
    </row>
    <row r="17" spans="2:10" hidden="1" x14ac:dyDescent="0.35">
      <c r="B17" t="s">
        <v>106</v>
      </c>
      <c r="C17" s="22">
        <f>C15*C16</f>
        <v>0.16666666666666666</v>
      </c>
      <c r="J17" s="51"/>
    </row>
    <row r="18" spans="2:10" hidden="1" x14ac:dyDescent="0.35">
      <c r="B18" s="27" t="s">
        <v>93</v>
      </c>
      <c r="J18" s="51"/>
    </row>
    <row r="19" spans="2:10" hidden="1" x14ac:dyDescent="0.35">
      <c r="B19" t="s">
        <v>90</v>
      </c>
      <c r="C19" s="7">
        <v>1.7849999999999999</v>
      </c>
      <c r="J19" s="51"/>
    </row>
    <row r="20" spans="2:10" hidden="1" x14ac:dyDescent="0.35">
      <c r="B20" t="s">
        <v>91</v>
      </c>
      <c r="C20" s="18">
        <v>6.4</v>
      </c>
      <c r="J20" s="51"/>
    </row>
    <row r="21" spans="2:10" hidden="1" x14ac:dyDescent="0.35">
      <c r="B21" t="s">
        <v>92</v>
      </c>
      <c r="C21" s="7">
        <f>23*3.6</f>
        <v>82.8</v>
      </c>
      <c r="J21" s="51"/>
    </row>
    <row r="22" spans="2:10" ht="16.5" hidden="1" x14ac:dyDescent="0.35">
      <c r="B22" t="s">
        <v>71</v>
      </c>
      <c r="C22" s="23" t="e">
        <f>#REF!</f>
        <v>#REF!</v>
      </c>
      <c r="J22" s="51"/>
    </row>
    <row r="23" spans="2:10" hidden="1" x14ac:dyDescent="0.35">
      <c r="J23" s="51"/>
    </row>
    <row r="24" spans="2:10" hidden="1" x14ac:dyDescent="0.35">
      <c r="B24" s="27" t="s">
        <v>103</v>
      </c>
      <c r="J24" s="51"/>
    </row>
    <row r="25" spans="2:10" hidden="1" x14ac:dyDescent="0.35">
      <c r="B25" t="s">
        <v>89</v>
      </c>
      <c r="C25" s="25">
        <f>(C14*C17)-C28</f>
        <v>8.3333333333333321</v>
      </c>
      <c r="J25" s="51"/>
    </row>
    <row r="26" spans="2:10" ht="16.5" hidden="1" x14ac:dyDescent="0.35">
      <c r="B26" t="s">
        <v>74</v>
      </c>
      <c r="C26" s="18">
        <v>40</v>
      </c>
      <c r="I26" s="33"/>
      <c r="J26" s="51"/>
    </row>
    <row r="27" spans="2:10" hidden="1" x14ac:dyDescent="0.35">
      <c r="C27" s="24"/>
      <c r="J27" s="51"/>
    </row>
    <row r="28" spans="2:10" hidden="1" x14ac:dyDescent="0.35">
      <c r="B28" t="s">
        <v>84</v>
      </c>
      <c r="C28" s="7">
        <v>0</v>
      </c>
      <c r="J28" s="51"/>
    </row>
    <row r="29" spans="2:10" ht="15.5" x14ac:dyDescent="0.35">
      <c r="B29" s="48" t="s">
        <v>111</v>
      </c>
      <c r="C29" s="10">
        <f>IF(ROUND(Calculations!F26,2)&lt;35,ROUND(Calculations!F26,2),35)</f>
        <v>8.33</v>
      </c>
      <c r="J29" s="51"/>
    </row>
    <row r="31" spans="2:10" ht="15.5" x14ac:dyDescent="0.35">
      <c r="B31" s="29" t="s">
        <v>100</v>
      </c>
      <c r="C31" s="10">
        <f>ROUND(Calculations!F5,2)</f>
        <v>2.25</v>
      </c>
      <c r="D31">
        <f>C31*1000</f>
        <v>2250</v>
      </c>
      <c r="E31" t="s">
        <v>114</v>
      </c>
    </row>
    <row r="38" spans="2:2" x14ac:dyDescent="0.35">
      <c r="B38" s="55" t="s">
        <v>116</v>
      </c>
    </row>
  </sheetData>
  <mergeCells count="3">
    <mergeCell ref="B1:J3"/>
    <mergeCell ref="J6:J29"/>
    <mergeCell ref="E11:H1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Error" promptTitle="SAIL">
          <x14:formula1>
            <xm:f>Calculations!$U$34:$AA$34</xm:f>
          </x14:formula1>
          <xm:sqref>C6</xm:sqref>
        </x14:dataValidation>
        <x14:dataValidation type="list" showInputMessage="1" showErrorMessage="1" errorTitle="Error" promptTitle="Robustness">
          <x14:formula1>
            <xm:f>Calculations!$U$37:$W$37</xm:f>
          </x14:formula1>
          <xm:sqref>C9:C11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3:AA90"/>
  <sheetViews>
    <sheetView showGridLines="0" showRowColHeaders="0" topLeftCell="A22" workbookViewId="0">
      <selection activeCell="E35" sqref="E35"/>
    </sheetView>
  </sheetViews>
  <sheetFormatPr baseColWidth="10" defaultColWidth="9.26953125" defaultRowHeight="14.5" x14ac:dyDescent="0.35"/>
  <cols>
    <col min="4" max="4" width="11.36328125" customWidth="1"/>
    <col min="5" max="5" width="13.7265625" customWidth="1"/>
    <col min="6" max="6" width="11.36328125" customWidth="1"/>
    <col min="7" max="7" width="9.81640625" bestFit="1" customWidth="1"/>
    <col min="8" max="8" width="10" customWidth="1"/>
    <col min="12" max="12" width="11" bestFit="1" customWidth="1"/>
    <col min="13" max="13" width="10" bestFit="1" customWidth="1"/>
    <col min="20" max="20" width="15.54296875" customWidth="1"/>
    <col min="21" max="26" width="12.7265625" customWidth="1"/>
    <col min="27" max="27" width="14.1796875" customWidth="1"/>
    <col min="29" max="16383" width="9.26953125" customWidth="1"/>
  </cols>
  <sheetData>
    <row r="3" spans="2:7" x14ac:dyDescent="0.35">
      <c r="B3" s="3" t="s">
        <v>41</v>
      </c>
    </row>
    <row r="5" spans="2:7" x14ac:dyDescent="0.35">
      <c r="C5" t="s">
        <v>79</v>
      </c>
      <c r="F5" s="5">
        <f>F26*F90</f>
        <v>2.2467164060504419</v>
      </c>
      <c r="G5" t="s">
        <v>9</v>
      </c>
    </row>
    <row r="7" spans="2:7" x14ac:dyDescent="0.35">
      <c r="D7" t="s">
        <v>31</v>
      </c>
      <c r="E7" t="s">
        <v>27</v>
      </c>
    </row>
    <row r="9" spans="2:7" x14ac:dyDescent="0.35">
      <c r="D9" t="s">
        <v>32</v>
      </c>
      <c r="E9" t="s">
        <v>26</v>
      </c>
    </row>
    <row r="11" spans="2:7" x14ac:dyDescent="0.35">
      <c r="D11" t="s">
        <v>0</v>
      </c>
      <c r="E11" t="s">
        <v>28</v>
      </c>
    </row>
    <row r="13" spans="2:7" x14ac:dyDescent="0.35">
      <c r="D13" t="s">
        <v>80</v>
      </c>
      <c r="E13" t="s">
        <v>81</v>
      </c>
    </row>
    <row r="15" spans="2:7" x14ac:dyDescent="0.35">
      <c r="C15" s="3" t="s">
        <v>29</v>
      </c>
    </row>
    <row r="17" spans="3:8" x14ac:dyDescent="0.35">
      <c r="D17" t="s">
        <v>85</v>
      </c>
      <c r="F17" s="3">
        <f>F19*F21</f>
        <v>8.3333333333333321</v>
      </c>
      <c r="G17" t="s">
        <v>9</v>
      </c>
    </row>
    <row r="19" spans="3:8" x14ac:dyDescent="0.35">
      <c r="E19" t="s">
        <v>1</v>
      </c>
      <c r="F19" s="17">
        <f>'Input data'!C14</f>
        <v>50</v>
      </c>
      <c r="G19" t="s">
        <v>2</v>
      </c>
      <c r="H19" t="s">
        <v>24</v>
      </c>
    </row>
    <row r="21" spans="3:8" x14ac:dyDescent="0.35">
      <c r="E21" t="s">
        <v>3</v>
      </c>
      <c r="F21" s="17">
        <f>'Input data'!C17</f>
        <v>0.16666666666666666</v>
      </c>
      <c r="G21" t="s">
        <v>4</v>
      </c>
      <c r="H21" t="s">
        <v>25</v>
      </c>
    </row>
    <row r="23" spans="3:8" x14ac:dyDescent="0.35">
      <c r="D23" t="s">
        <v>82</v>
      </c>
      <c r="F23" s="3">
        <f>'Input data'!C28</f>
        <v>0</v>
      </c>
      <c r="G23" s="17"/>
      <c r="H23" t="s">
        <v>81</v>
      </c>
    </row>
    <row r="25" spans="3:8" x14ac:dyDescent="0.35">
      <c r="F25" s="17"/>
    </row>
    <row r="26" spans="3:8" x14ac:dyDescent="0.35">
      <c r="D26" t="s">
        <v>86</v>
      </c>
      <c r="F26" s="9">
        <f>F17-F23</f>
        <v>8.3333333333333321</v>
      </c>
      <c r="G26" t="s">
        <v>9</v>
      </c>
    </row>
    <row r="27" spans="3:8" x14ac:dyDescent="0.35">
      <c r="F27" s="17"/>
    </row>
    <row r="30" spans="3:8" x14ac:dyDescent="0.35">
      <c r="C30" s="3" t="s">
        <v>30</v>
      </c>
      <c r="E30" s="3"/>
    </row>
    <row r="32" spans="3:8" x14ac:dyDescent="0.35">
      <c r="D32" t="s">
        <v>76</v>
      </c>
    </row>
    <row r="34" spans="4:27" x14ac:dyDescent="0.35">
      <c r="D34" t="s">
        <v>8</v>
      </c>
      <c r="E34" s="32">
        <f>1/1000000</f>
        <v>9.9999999999999995E-7</v>
      </c>
      <c r="F34" t="s">
        <v>33</v>
      </c>
      <c r="G34" t="s">
        <v>75</v>
      </c>
      <c r="T34" s="12" t="s">
        <v>61</v>
      </c>
      <c r="U34" s="12" t="s">
        <v>62</v>
      </c>
      <c r="V34" s="12" t="s">
        <v>63</v>
      </c>
      <c r="W34" s="12" t="s">
        <v>64</v>
      </c>
      <c r="X34" s="12" t="s">
        <v>65</v>
      </c>
      <c r="Y34" s="12" t="s">
        <v>66</v>
      </c>
      <c r="Z34" s="12" t="s">
        <v>67</v>
      </c>
      <c r="AA34" s="12" t="s">
        <v>78</v>
      </c>
    </row>
    <row r="35" spans="4:27" x14ac:dyDescent="0.35">
      <c r="E35" s="1"/>
      <c r="T35" t="s">
        <v>22</v>
      </c>
      <c r="U35" s="1">
        <v>0.1</v>
      </c>
      <c r="V35" s="1">
        <v>0.01</v>
      </c>
      <c r="W35" s="1">
        <v>1E-3</v>
      </c>
      <c r="X35" s="1">
        <v>1E-4</v>
      </c>
      <c r="Y35" s="1">
        <v>1.0000000000000001E-5</v>
      </c>
      <c r="Z35" s="1">
        <v>9.9999999999999995E-7</v>
      </c>
      <c r="AA35" s="1">
        <v>1</v>
      </c>
    </row>
    <row r="36" spans="4:27" x14ac:dyDescent="0.35">
      <c r="D36" t="s">
        <v>38</v>
      </c>
      <c r="E36" s="6">
        <f>1/10</f>
        <v>0.1</v>
      </c>
      <c r="F36" t="s">
        <v>35</v>
      </c>
      <c r="G36" t="s">
        <v>34</v>
      </c>
      <c r="N36" s="3" t="s">
        <v>36</v>
      </c>
    </row>
    <row r="37" spans="4:27" x14ac:dyDescent="0.35">
      <c r="E37" s="1"/>
      <c r="N37" s="3"/>
      <c r="T37" s="11" t="s">
        <v>68</v>
      </c>
      <c r="U37" s="11" t="s">
        <v>21</v>
      </c>
      <c r="V37" s="11" t="s">
        <v>5</v>
      </c>
      <c r="W37" s="12" t="s">
        <v>99</v>
      </c>
    </row>
    <row r="38" spans="4:27" x14ac:dyDescent="0.35">
      <c r="D38" t="s">
        <v>6</v>
      </c>
      <c r="E38" s="6">
        <f>IF('Input data'!C6="I",Calculations!U35,IF('Input data'!C6="II",Calculations!V35,IF('Input data'!C6="III",Calculations!W35,IF('Input data'!C6="IV",Calculations!X35,IF('Input data'!C6="V",Calculations!Y35,IF('Input data'!C6="VI",Calculations!Z35,IF('Input data'!C6="Not Applicable",Calculations!AA35)))))))</f>
        <v>0.01</v>
      </c>
      <c r="F38" t="s">
        <v>37</v>
      </c>
      <c r="N38" s="3" t="s">
        <v>40</v>
      </c>
      <c r="T38" t="s">
        <v>104</v>
      </c>
      <c r="U38" s="6">
        <v>0.01</v>
      </c>
      <c r="V38" s="1">
        <v>1E-4</v>
      </c>
      <c r="W38" s="1">
        <v>1</v>
      </c>
    </row>
    <row r="39" spans="4:27" x14ac:dyDescent="0.35">
      <c r="E39" s="1"/>
      <c r="U39" s="6"/>
      <c r="V39" s="1"/>
      <c r="W39" s="1"/>
      <c r="X39" s="1"/>
    </row>
    <row r="40" spans="4:27" x14ac:dyDescent="0.35">
      <c r="D40" t="s">
        <v>7</v>
      </c>
      <c r="E40" s="6">
        <f>IF('Input data'!C9="L",Calculations!U38,IF('Input data'!C9="H",Calculations!V38,IF('Input data'!C9="Not Applicable",Calculations!W38)))</f>
        <v>0.01</v>
      </c>
      <c r="F40" t="s">
        <v>39</v>
      </c>
      <c r="N40" s="3" t="s">
        <v>104</v>
      </c>
    </row>
    <row r="41" spans="4:27" x14ac:dyDescent="0.35">
      <c r="E41" s="1"/>
      <c r="T41" s="35"/>
      <c r="U41" s="35"/>
      <c r="V41" s="35"/>
      <c r="W41" s="35"/>
      <c r="X41" s="35"/>
      <c r="Y41" s="35"/>
      <c r="Z41" s="35"/>
      <c r="AA41" s="35"/>
    </row>
    <row r="42" spans="4:27" x14ac:dyDescent="0.35">
      <c r="E42" s="6"/>
      <c r="N42" s="3"/>
      <c r="T42" s="35"/>
      <c r="U42" s="35"/>
    </row>
    <row r="43" spans="4:27" ht="15" customHeight="1" x14ac:dyDescent="0.35">
      <c r="E43" s="6"/>
    </row>
    <row r="44" spans="4:27" x14ac:dyDescent="0.35">
      <c r="E44" s="6"/>
      <c r="N44" s="3"/>
    </row>
    <row r="45" spans="4:27" x14ac:dyDescent="0.35">
      <c r="E45" s="1"/>
    </row>
    <row r="46" spans="4:27" x14ac:dyDescent="0.35">
      <c r="D46" t="s">
        <v>73</v>
      </c>
      <c r="E46" s="2">
        <f>E34/(E36*E38*E40)</f>
        <v>9.9999999999999992E-2</v>
      </c>
      <c r="F46" t="s">
        <v>33</v>
      </c>
      <c r="G46" t="s">
        <v>72</v>
      </c>
    </row>
    <row r="50" spans="3:13" x14ac:dyDescent="0.35">
      <c r="C50" s="3" t="s">
        <v>42</v>
      </c>
    </row>
    <row r="52" spans="3:13" x14ac:dyDescent="0.35">
      <c r="D52" t="s">
        <v>43</v>
      </c>
    </row>
    <row r="54" spans="3:13" x14ac:dyDescent="0.35">
      <c r="D54" t="s">
        <v>44</v>
      </c>
    </row>
    <row r="56" spans="3:13" x14ac:dyDescent="0.35">
      <c r="D56" t="s">
        <v>45</v>
      </c>
      <c r="M56" s="1">
        <f>E34</f>
        <v>9.9999999999999995E-7</v>
      </c>
    </row>
    <row r="58" spans="3:13" x14ac:dyDescent="0.35">
      <c r="D58" t="s">
        <v>46</v>
      </c>
    </row>
    <row r="61" spans="3:13" x14ac:dyDescent="0.35">
      <c r="D61" t="s">
        <v>47</v>
      </c>
      <c r="E61" t="s">
        <v>13</v>
      </c>
    </row>
    <row r="63" spans="3:13" x14ac:dyDescent="0.35">
      <c r="E63" t="s">
        <v>10</v>
      </c>
      <c r="F63" s="31">
        <f>_xlfn.NORM.S.INV(1-E34)</f>
        <v>4.7534243088170891</v>
      </c>
      <c r="G63" t="s">
        <v>48</v>
      </c>
      <c r="M63" t="s">
        <v>19</v>
      </c>
    </row>
    <row r="65" spans="3:7" x14ac:dyDescent="0.35">
      <c r="E65" t="s">
        <v>11</v>
      </c>
      <c r="F65">
        <f>F17</f>
        <v>8.3333333333333321</v>
      </c>
      <c r="G65" t="s">
        <v>87</v>
      </c>
    </row>
    <row r="67" spans="3:7" x14ac:dyDescent="0.35">
      <c r="E67" t="s">
        <v>12</v>
      </c>
      <c r="F67" s="4">
        <f>F65/F63</f>
        <v>1.7531221266899943</v>
      </c>
      <c r="G67" t="s">
        <v>49</v>
      </c>
    </row>
    <row r="69" spans="3:7" x14ac:dyDescent="0.35">
      <c r="D69" t="s">
        <v>50</v>
      </c>
    </row>
    <row r="72" spans="3:7" x14ac:dyDescent="0.35">
      <c r="C72" s="3" t="s">
        <v>51</v>
      </c>
    </row>
    <row r="74" spans="3:7" x14ac:dyDescent="0.35">
      <c r="D74" t="s">
        <v>52</v>
      </c>
    </row>
    <row r="76" spans="3:7" x14ac:dyDescent="0.35">
      <c r="D76" t="s">
        <v>53</v>
      </c>
    </row>
    <row r="78" spans="3:7" x14ac:dyDescent="0.35">
      <c r="E78" t="s">
        <v>14</v>
      </c>
      <c r="F78" s="1">
        <f>E34</f>
        <v>9.9999999999999995E-7</v>
      </c>
      <c r="G78" t="s">
        <v>54</v>
      </c>
    </row>
    <row r="80" spans="3:7" x14ac:dyDescent="0.35">
      <c r="E80" t="s">
        <v>15</v>
      </c>
      <c r="F80" s="1">
        <f>F82/F78</f>
        <v>100000</v>
      </c>
      <c r="G80" t="s">
        <v>55</v>
      </c>
    </row>
    <row r="82" spans="5:13" x14ac:dyDescent="0.35">
      <c r="E82" t="s">
        <v>16</v>
      </c>
      <c r="F82" s="16">
        <f>IF(E46&lt;0.5,E46,0.5)</f>
        <v>9.9999999999999992E-2</v>
      </c>
      <c r="G82" t="s">
        <v>56</v>
      </c>
    </row>
    <row r="84" spans="5:13" x14ac:dyDescent="0.35">
      <c r="E84" t="s">
        <v>17</v>
      </c>
      <c r="F84" s="19">
        <f>_xlfn.NORM.S.INV(1-F82)</f>
        <v>1.2815515655446006</v>
      </c>
      <c r="G84" t="s">
        <v>57</v>
      </c>
      <c r="I84" s="9"/>
    </row>
    <row r="85" spans="5:13" x14ac:dyDescent="0.35">
      <c r="L85" s="17"/>
    </row>
    <row r="86" spans="5:13" x14ac:dyDescent="0.35">
      <c r="E86" t="s">
        <v>18</v>
      </c>
      <c r="F86" s="20">
        <f>IF(F84&lt;0,0,F84*F67)</f>
        <v>2.2467164060504419</v>
      </c>
      <c r="G86" t="s">
        <v>58</v>
      </c>
    </row>
    <row r="88" spans="5:13" x14ac:dyDescent="0.35">
      <c r="E88" t="s">
        <v>32</v>
      </c>
      <c r="F88">
        <f>F26</f>
        <v>8.3333333333333321</v>
      </c>
      <c r="G88" t="s">
        <v>59</v>
      </c>
    </row>
    <row r="90" spans="5:13" x14ac:dyDescent="0.35">
      <c r="E90" t="s">
        <v>0</v>
      </c>
      <c r="F90" s="21">
        <f>IF(F86&lt;F23,0,(F86-F23)/F88)</f>
        <v>0.26960596872605308</v>
      </c>
      <c r="G90" t="s">
        <v>60</v>
      </c>
      <c r="M90" t="s">
        <v>83</v>
      </c>
    </row>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Input data</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Gándara Ossel Roberto</dc:creator>
  <cp:lastModifiedBy>Hernán Cerdá Susana</cp:lastModifiedBy>
  <dcterms:created xsi:type="dcterms:W3CDTF">2015-06-05T18:17:20Z</dcterms:created>
  <dcterms:modified xsi:type="dcterms:W3CDTF">2023-06-05T11:45:43Z</dcterms:modified>
</cp:coreProperties>
</file>